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1. Income Calculator" sheetId="2" state="visible" r:id="rId4"/>
    <sheet name="2. Location Bands" sheetId="3" state="visible" r:id="rId5"/>
    <sheet name="3. Category Margins" sheetId="4" state="visible" r:id="rId6"/>
    <sheet name="4. Break-Even" sheetId="5" state="visible" r:id="rId7"/>
    <sheet name="5. 12-Month Projection" sheetId="6" state="visible" r:id="rId8"/>
    <sheet name="6. Daily Sales Log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<sst xmlns="http://schemas.openxmlformats.org/spreadsheetml/2006/main" count="212" uniqueCount="195">
  <si>
    <t xml:space="preserve">PinoyNegosyo.net — 2026 Sari-Sari Store Income Calculator</t>
  </si>
  <si>
    <t xml:space="preserve">Free workbook. Update the yellow input cells and every formula recalculates automatically.</t>
  </si>
  <si>
    <t xml:space="preserve">WHAT'S INSIDE</t>
  </si>
  <si>
    <t xml:space="preserve">Sheet</t>
  </si>
  <si>
    <t xml:space="preserve">What it does</t>
  </si>
  <si>
    <t xml:space="preserve">1. Income Calculator</t>
  </si>
  <si>
    <t xml:space="preserve">Enter daily sales + markup + expenses → see net monthly income instantly. Start here.</t>
  </si>
  <si>
    <t xml:space="preserve">2. Location Band Table</t>
  </si>
  <si>
    <t xml:space="preserve">Reference: expected income by location type (residential, corner, near-school, high-traffic).</t>
  </si>
  <si>
    <t xml:space="preserve">3. Category Margins</t>
  </si>
  <si>
    <t xml:space="preserve">Reference: typical markup per product category. Use this to plan your inventory mix.</t>
  </si>
  <si>
    <t xml:space="preserve">4. Break-Even Calculator</t>
  </si>
  <si>
    <t xml:space="preserve">Enter startup capital → see months to recover. Sensitivity table included.</t>
  </si>
  <si>
    <t xml:space="preserve">5. 12-Month P&amp;L Projection</t>
  </si>
  <si>
    <t xml:space="preserve">Enter monthly sales growth assumption → see 12-month cash flow and cumulative profit.</t>
  </si>
  <si>
    <t xml:space="preserve">6. Daily Sales Log</t>
  </si>
  <si>
    <t xml:space="preserve">Print-friendly log. Track daily gross sales, utang, expenses for 30 days.</t>
  </si>
  <si>
    <t xml:space="preserve">HOW TO USE</t>
  </si>
  <si>
    <t xml:space="preserve">Yellow cells</t>
  </si>
  <si>
    <t xml:space="preserve">Input cells you can change</t>
  </si>
  <si>
    <t xml:space="preserve">Bold red numbers</t>
  </si>
  <si>
    <t xml:space="preserve">Key output values (net income, break-even months)</t>
  </si>
  <si>
    <t xml:space="preserve">Formulas</t>
  </si>
  <si>
    <t xml:space="preserve">All calculations are live — do not overwrite formula cells</t>
  </si>
  <si>
    <t xml:space="preserve">2026 benchmarks</t>
  </si>
  <si>
    <t xml:space="preserve">Based on Packworks industry data and typical Philippine sari-sari operations</t>
  </si>
  <si>
    <t xml:space="preserve">Get more free guides: https://pinoynegosyo.net</t>
  </si>
  <si>
    <t xml:space="preserve">Sari-Sari Store Income Calculator</t>
  </si>
  <si>
    <t xml:space="preserve">INPUTS</t>
  </si>
  <si>
    <t xml:space="preserve">Average daily gross sales (₱)</t>
  </si>
  <si>
    <t xml:space="preserve">How much you sell per day in pesos</t>
  </si>
  <si>
    <t xml:space="preserve">Blended gross markup (%)</t>
  </si>
  <si>
    <t xml:space="preserve">Typical 15–25% depending on category mix</t>
  </si>
  <si>
    <t xml:space="preserve">Days of operation per month</t>
  </si>
  <si>
    <t xml:space="preserve">Most sari-sari stores run 7 days/week</t>
  </si>
  <si>
    <t xml:space="preserve">Utang write-off (% of sales)</t>
  </si>
  <si>
    <t xml:space="preserve">2% is typical; enforce a limit to reduce</t>
  </si>
  <si>
    <t xml:space="preserve">Spoilage &amp; shrinkage (% of sales)</t>
  </si>
  <si>
    <t xml:space="preserve">1–3% typical, higher if selling frozen items</t>
  </si>
  <si>
    <t xml:space="preserve">Electricity per month (₱)</t>
  </si>
  <si>
    <t xml:space="preserve">Freezer + lights + fan</t>
  </si>
  <si>
    <t xml:space="preserve">Water &amp; utilities per month (₱)</t>
  </si>
  <si>
    <t xml:space="preserve">Rent per month (₱)</t>
  </si>
  <si>
    <t xml:space="preserve">0 if home-based</t>
  </si>
  <si>
    <t xml:space="preserve">Permits/taxes per month (₱)</t>
  </si>
  <si>
    <t xml:space="preserve">Amortized annual permit renewals</t>
  </si>
  <si>
    <t xml:space="preserve">E-load / GCash income per month (₱)</t>
  </si>
  <si>
    <t xml:space="preserve">Add-on service revenue</t>
  </si>
  <si>
    <t xml:space="preserve">MONTHLY RESULTS</t>
  </si>
  <si>
    <t xml:space="preserve">Monthly gross sales</t>
  </si>
  <si>
    <t xml:space="preserve">Cost of goods sold</t>
  </si>
  <si>
    <t xml:space="preserve">Gross profit</t>
  </si>
  <si>
    <t xml:space="preserve">Utang write-off</t>
  </si>
  <si>
    <t xml:space="preserve">Spoilage &amp; shrinkage</t>
  </si>
  <si>
    <t xml:space="preserve">Electricity</t>
  </si>
  <si>
    <t xml:space="preserve">Water &amp; utilities</t>
  </si>
  <si>
    <t xml:space="preserve">Rent</t>
  </si>
  <si>
    <t xml:space="preserve">Permits &amp; taxes</t>
  </si>
  <si>
    <t xml:space="preserve">Add-on services income</t>
  </si>
  <si>
    <t xml:space="preserve">NET MONTHLY INCOME</t>
  </si>
  <si>
    <t xml:space="preserve">Effective net margin</t>
  </si>
  <si>
    <t xml:space="preserve">Net daily take-home (avg)</t>
  </si>
  <si>
    <t xml:space="preserve">Annualized net income</t>
  </si>
  <si>
    <t xml:space="preserve">INTERPRETATION</t>
  </si>
  <si>
    <t xml:space="preserve">• ₱4,500–₱9,000/month = home-based sari-sari, viable as supplemental income</t>
  </si>
  <si>
    <t xml:space="preserve">• ₱10,000–₱20,000/month = average corner store, main income for the household</t>
  </si>
  <si>
    <t xml:space="preserve">• ₱20,000–₱40,000/month = well-managed store or better location</t>
  </si>
  <si>
    <t xml:space="preserve">• ₱40,000+/month = high-traffic location with add-on services and consistent operations</t>
  </si>
  <si>
    <t xml:space="preserve">Sari-Sari Store Income by Location Band (2026)</t>
  </si>
  <si>
    <t xml:space="preserve">Location Type</t>
  </si>
  <si>
    <t xml:space="preserve">Daily Sales (₱)</t>
  </si>
  <si>
    <t xml:space="preserve">Net Margin</t>
  </si>
  <si>
    <t xml:space="preserve">Monthly Net (₱)</t>
  </si>
  <si>
    <t xml:space="preserve">Notes</t>
  </si>
  <si>
    <t xml:space="preserve">Residential interior (bahay-front)</t>
  </si>
  <si>
    <t xml:space="preserve">Kapitbahay-driven, stable but modest</t>
  </si>
  <si>
    <t xml:space="preserve">Barangay corner store (avg)</t>
  </si>
  <si>
    <t xml:space="preserve">Most common archetype in 2026</t>
  </si>
  <si>
    <t xml:space="preserve">Corner, wider inventory</t>
  </si>
  <si>
    <t xml:space="preserve">Includes cold drinks, snacks, small frozen</t>
  </si>
  <si>
    <t xml:space="preserve">Well-located, mid-inventory</t>
  </si>
  <si>
    <t xml:space="preserve">Regular foot + tricycle traffic</t>
  </si>
  <si>
    <t xml:space="preserve">Near school / market / terminal</t>
  </si>
  <si>
    <t xml:space="preserve">Prime daytime foot traffic</t>
  </si>
  <si>
    <t xml:space="preserve">High-traffic + e-load/GCash</t>
  </si>
  <si>
    <t xml:space="preserve">24/7 hours, add-on services</t>
  </si>
  <si>
    <t xml:space="preserve">Multi-line mini-grocery hybrid</t>
  </si>
  <si>
    <t xml:space="preserve">Graduated sari-sari, larger inventory</t>
  </si>
  <si>
    <t xml:space="preserve">Product Category Markup Reference (2026)</t>
  </si>
  <si>
    <t xml:space="preserve">Product Category</t>
  </si>
  <si>
    <t xml:space="preserve">Typical Markup</t>
  </si>
  <si>
    <t xml:space="preserve">Turnover</t>
  </si>
  <si>
    <t xml:space="preserve">Sachet essentials (shampoo, coffee, laundry)</t>
  </si>
  <si>
    <t xml:space="preserve">10–15%</t>
  </si>
  <si>
    <t xml:space="preserve">Very high</t>
  </si>
  <si>
    <t xml:space="preserve">Fast-moving, thin margin per unit</t>
  </si>
  <si>
    <t xml:space="preserve">Canned goods (sardines, corned beef, tuna)</t>
  </si>
  <si>
    <t xml:space="preserve">12–18%</t>
  </si>
  <si>
    <t xml:space="preserve">High</t>
  </si>
  <si>
    <t xml:space="preserve">Watch expiry dates carefully</t>
  </si>
  <si>
    <t xml:space="preserve">Instant noodles &amp; food staples</t>
  </si>
  <si>
    <t xml:space="preserve">Steady demand year-round</t>
  </si>
  <si>
    <t xml:space="preserve">Soft drinks &amp; bottled water</t>
  </si>
  <si>
    <t xml:space="preserve">15–25%</t>
  </si>
  <si>
    <t xml:space="preserve">Best case-level margin, cold storage helps</t>
  </si>
  <si>
    <t xml:space="preserve">Frozen items (hotdogs, tocino, ice cream)</t>
  </si>
  <si>
    <t xml:space="preserve">18–30%</t>
  </si>
  <si>
    <t xml:space="preserve">Medium</t>
  </si>
  <si>
    <t xml:space="preserve">Requires freezer, spoilage risk</t>
  </si>
  <si>
    <t xml:space="preserve">Snacks, candies, biscuits</t>
  </si>
  <si>
    <t xml:space="preserve">20–30%</t>
  </si>
  <si>
    <t xml:space="preserve">Highest margin, impulse purchases</t>
  </si>
  <si>
    <t xml:space="preserve">Household staples (oil, toyo, suka)</t>
  </si>
  <si>
    <t xml:space="preserve">Necessity items driving foot traffic</t>
  </si>
  <si>
    <t xml:space="preserve">Cigarettes (per stick)</t>
  </si>
  <si>
    <t xml:space="preserve">10–20%</t>
  </si>
  <si>
    <t xml:space="preserve">Age-restricted, high daily turnover</t>
  </si>
  <si>
    <t xml:space="preserve">Rice (per gatang)</t>
  </si>
  <si>
    <t xml:space="preserve">5–10%</t>
  </si>
  <si>
    <t xml:space="preserve">Thin margin, needs volume</t>
  </si>
  <si>
    <t xml:space="preserve">Alcoholic beverages</t>
  </si>
  <si>
    <t xml:space="preserve">18–25%</t>
  </si>
  <si>
    <t xml:space="preserve">Higher margin, restricted hours in some LGUs</t>
  </si>
  <si>
    <t xml:space="preserve">Small food (siopao, kakanin)</t>
  </si>
  <si>
    <t xml:space="preserve">40–60%</t>
  </si>
  <si>
    <t xml:space="preserve">Drives foot traffic and merienda buys</t>
  </si>
  <si>
    <t xml:space="preserve">E-load transactions</t>
  </si>
  <si>
    <t xml:space="preserve">₱2–₱5 flat</t>
  </si>
  <si>
    <t xml:space="preserve">Zero inventory, pure margin</t>
  </si>
  <si>
    <t xml:space="preserve">GCash / Maya cash-in/out</t>
  </si>
  <si>
    <t xml:space="preserve">₱3–₱10 flat</t>
  </si>
  <si>
    <t xml:space="preserve">Best in commercial areas</t>
  </si>
  <si>
    <t xml:space="preserve">Bills payment (Meralco, PLDT)</t>
  </si>
  <si>
    <t xml:space="preserve">₱5–₱15 flat</t>
  </si>
  <si>
    <t xml:space="preserve">Higher volume at month-end</t>
  </si>
  <si>
    <t xml:space="preserve">Courier pickup (LBC, J&amp;T, Ninja Van)</t>
  </si>
  <si>
    <t xml:space="preserve">₱5–₱20 per parcel</t>
  </si>
  <si>
    <t xml:space="preserve">Growing</t>
  </si>
  <si>
    <t xml:space="preserve">Expanding as online shopping grows</t>
  </si>
  <si>
    <t xml:space="preserve">Break-Even Calculator</t>
  </si>
  <si>
    <t xml:space="preserve">Total startup capital (₱)</t>
  </si>
  <si>
    <t xml:space="preserve">Include inventory, permits, shelving, freezer</t>
  </si>
  <si>
    <t xml:space="preserve">Expected monthly net income (₱)</t>
  </si>
  <si>
    <t xml:space="preserve">Copy from Income Calculator result</t>
  </si>
  <si>
    <t xml:space="preserve">Reinvestment % of profit</t>
  </si>
  <si>
    <t xml:space="preserve">Typical 30–60% — reduces effective payback</t>
  </si>
  <si>
    <t xml:space="preserve">RESULTS</t>
  </si>
  <si>
    <t xml:space="preserve">Monthly take-home (after reinvestment)</t>
  </si>
  <si>
    <t xml:space="preserve">Break-even (best case, no reinvest)</t>
  </si>
  <si>
    <t xml:space="preserve">Break-even (realistic w/ reinvestment)</t>
  </si>
  <si>
    <t xml:space="preserve">Days to break-even (realistic)</t>
  </si>
  <si>
    <t xml:space="preserve">SENSITIVITY — break-even months by capital and monthly net income</t>
  </si>
  <si>
    <t xml:space="preserve">Capital \ Net Income</t>
  </si>
  <si>
    <t xml:space="preserve">Legend: 🟢 ≤3mo (fast) · 🟡 3–6mo (typical) · 🟠 6–12mo (slow) · 🔴 &gt;12mo (concern)</t>
  </si>
  <si>
    <t xml:space="preserve">12-Month P&amp;L Projection</t>
  </si>
  <si>
    <t xml:space="preserve">ASSUMPTIONS</t>
  </si>
  <si>
    <t xml:space="preserve">Month 1 daily sales (₱)</t>
  </si>
  <si>
    <t xml:space="preserve">Blended net margin</t>
  </si>
  <si>
    <t xml:space="preserve">Monthly sales growth rate</t>
  </si>
  <si>
    <t xml:space="preserve">Startup capital (₱)</t>
  </si>
  <si>
    <t xml:space="preserve">Month</t>
  </si>
  <si>
    <t xml:space="preserve">Daily Sales</t>
  </si>
  <si>
    <t xml:space="preserve">Monthly Sales</t>
  </si>
  <si>
    <t xml:space="preserve">Net Income</t>
  </si>
  <si>
    <t xml:space="preserve">Cumulative Net</t>
  </si>
  <si>
    <t xml:space="preserve">Payback Status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</si>
  <si>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</si>
  <si>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</si>
  <si>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</si>
  <si>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</si>
  <si>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</si>
  <si>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</si>
  <si>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</si>
  <si>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</si>
  <si>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</si>
  <si>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</si>
  <si>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</si>
  <si>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</si>
  <si>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12-Month Total</t>
  </si>
  <si>
    <t xml:space="preserve">Daily Sales Log (30-day tracker)</t>
  </si>
  <si>
    <t xml:space="preserve">Log gross sales, utang, and expenses each day. Formulas total automatically at the bottom.</t>
  </si>
  <si>
    <t xml:space="preserve">Day</t>
  </si>
  <si>
    <t xml:space="preserve">Date</t>
  </si>
  <si>
    <t xml:space="preserve">Gross Sales</t>
  </si>
  <si>
    <t xml:space="preserve">Utang Given</t>
  </si>
  <si>
    <t xml:space="preserve">Utang Collected</t>
  </si>
  <si>
    <t xml:space="preserve">Restock Cost</t>
  </si>
  <si>
    <t xml:space="preserve">Utilities/Rent</t>
  </si>
  <si>
    <t xml:space="preserve">TOTALS</t>
  </si>
  <si>
    <t xml:space="preserve">30-DAY SUMMARY</t>
  </si>
  <si>
    <t xml:space="preserve">Total gross sales</t>
  </si>
  <si>
    <t xml:space="preserve">Total utang outstanding (given – collected)</t>
  </si>
  <si>
    <t xml:space="preserve">Total operational cash out</t>
  </si>
  <si>
    <t xml:space="preserve">Estimated net (before utang)</t>
  </si>
  <si>
    <t xml:space="preserve">Estimated net margin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</si>
</sst>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"/>
    <numFmt numFmtId="166" formatCode="0.0%"/>
    <numFmt numFmtId="167" formatCode="0"/>
    <numFmt numFmtId="168" formatCode="\₱#,##0"/>
    <numFmt numFmtId="169" formatCode="0%"/>
    <numFmt numFmtId="170" formatCode="0.0&quot; months&quot;"/>
    <numFmt numFmtId="171" formatCode="0&quot; days&quot;"/>
    <numFmt numFmtId="172" formatCode="0.0"/>
    <numFmt numFmtId="173" formatCode="\₱#,##0;[RED]&quot;-₱&quot;#,##0"/>
    <numFmt numFmtId="174" formatCode="yyyy\-mm\-dd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8251D"/>
      <name val="Calibri"/>
      <family val="0"/>
      <charset val="1"/>
    </font>
    <font>
      <i val="true"/>
      <sz val="10"/>
      <color rgb="FF7A7974"/>
      <name val="Calibri"/>
      <family val="0"/>
      <charset val="1"/>
    </font>
    <font>
      <b val="true"/>
      <sz val="11"/>
      <color rgb="FFC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sz val="10"/>
      <color rgb="FF7A7974"/>
      <name val="Calibri"/>
      <family val="0"/>
      <charset val="1"/>
    </font>
    <font>
      <i val="true"/>
      <sz val="10"/>
      <color rgb="FFC00000"/>
      <name val="Calibri"/>
      <family val="0"/>
      <charset val="1"/>
    </font>
    <font>
      <b val="true"/>
      <sz val="16"/>
      <color rgb="FF28251D"/>
      <name val="Calibri"/>
      <family val="0"/>
      <charset val="1"/>
    </font>
    <font>
      <i val="true"/>
      <sz val="9"/>
      <color rgb="FF7A7974"/>
      <name val="Calibri"/>
      <family val="0"/>
      <charset val="1"/>
    </font>
    <font>
      <b val="true"/>
      <sz val="11"/>
      <color rgb="FF28251D"/>
      <name val="Calibri"/>
      <family val="0"/>
      <charset val="1"/>
    </font>
    <font>
      <b val="true"/>
      <sz val="13"/>
      <color rgb="FFC00000"/>
      <name val="Calibri"/>
      <family val="0"/>
      <charset val="1"/>
    </font>
    <font>
      <sz val="10"/>
      <color rgb="FF28251D"/>
      <name val="Calibri"/>
      <family val="0"/>
      <charset val="1"/>
    </font>
    <font>
      <b val="true"/>
      <sz val="10"/>
      <color rgb="FFC00000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FF9C4"/>
        <bgColor rgb="FFFFF3CD"/>
      </patternFill>
    </fill>
    <fill>
      <patternFill patternType="solid">
        <fgColor rgb="FFFDF7F7"/>
        <bgColor rgb="FFFFFFFF"/>
      </patternFill>
    </fill>
    <fill>
      <patternFill patternType="solid">
        <fgColor rgb="FF28251D"/>
        <bgColor rgb="FF333300"/>
      </patternFill>
    </fill>
    <fill>
      <patternFill patternType="solid">
        <fgColor rgb="FFFFF3CD"/>
        <bgColor rgb="FFFFF9C4"/>
      </patternFill>
    </fill>
    <fill>
      <patternFill patternType="solid">
        <fgColor rgb="FFD4EDDA"/>
        <bgColor rgb="FFCCFFFF"/>
      </patternFill>
    </fill>
    <fill>
      <patternFill patternType="solid">
        <fgColor rgb="FFFDE0E0"/>
        <bgColor rgb="FFF8D7DA"/>
      </patternFill>
    </fill>
    <fill>
      <patternFill patternType="solid">
        <fgColor rgb="FFF8D7DA"/>
        <bgColor rgb="FFFDE0E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4D1CA"/>
      </left>
      <right style="thin">
        <color rgb="FFD4D1CA"/>
      </right>
      <top style="thin">
        <color rgb="FFD4D1CA"/>
      </top>
      <bottom style="thin">
        <color rgb="FFD4D1CA"/>
      </bottom>
      <diagonal/>
    </border>
    <border diagonalUp="false" diagonalDown="false">
      <left/>
      <right/>
      <top/>
      <bottom style="thin">
        <color rgb="FFD4D1CA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5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6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6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7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8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15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7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9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9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9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9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8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8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8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8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8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4D1CA"/>
      <rgbColor rgb="FF7A7974"/>
      <rgbColor rgb="FF9999FF"/>
      <rgbColor rgb="FF993366"/>
      <rgbColor rgb="FFFFF9C4"/>
      <rgbColor rgb="FFFDF7F7"/>
      <rgbColor rgb="FF660066"/>
      <rgbColor rgb="FFFF8080"/>
      <rgbColor rgb="FF0066CC"/>
      <rgbColor rgb="FFFD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3CD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8251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3" min="3" style="1" width="78"/>
  </cols>
  <sheetData>
    <row r="2" customFormat="false" ht="21.7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5" t="s">
        <v>3</v>
      </c>
      <c r="C6" s="5" t="s">
        <v>4</v>
      </c>
    </row>
    <row r="7" customFormat="false" ht="31.5" hidden="false" customHeight="true" outlineLevel="0" collapsed="false">
      <c r="B7" s="6" t="s">
        <v>5</v>
      </c>
      <c r="C7" s="7" t="s">
        <v>6</v>
      </c>
    </row>
    <row r="8" customFormat="false" ht="31.5" hidden="false" customHeight="true" outlineLevel="0" collapsed="false">
      <c r="B8" s="6" t="s">
        <v>7</v>
      </c>
      <c r="C8" s="7" t="s">
        <v>8</v>
      </c>
    </row>
    <row r="9" customFormat="false" ht="31.5" hidden="false" customHeight="true" outlineLevel="0" collapsed="false">
      <c r="B9" s="6" t="s">
        <v>9</v>
      </c>
      <c r="C9" s="7" t="s">
        <v>10</v>
      </c>
    </row>
    <row r="10" customFormat="false" ht="31.5" hidden="false" customHeight="true" outlineLevel="0" collapsed="false">
      <c r="B10" s="6" t="s">
        <v>11</v>
      </c>
      <c r="C10" s="7" t="s">
        <v>12</v>
      </c>
    </row>
    <row r="11" customFormat="false" ht="31.5" hidden="false" customHeight="true" outlineLevel="0" collapsed="false">
      <c r="B11" s="6" t="s">
        <v>13</v>
      </c>
      <c r="C11" s="7" t="s">
        <v>14</v>
      </c>
    </row>
    <row r="12" customFormat="false" ht="31.5" hidden="false" customHeight="true" outlineLevel="0" collapsed="false">
      <c r="B12" s="6" t="s">
        <v>15</v>
      </c>
      <c r="C12" s="7" t="s">
        <v>16</v>
      </c>
    </row>
    <row r="14" customFormat="false" ht="15" hidden="false" customHeight="true" outlineLevel="0" collapsed="false">
      <c r="B14" s="4" t="s">
        <v>17</v>
      </c>
    </row>
    <row r="15" customFormat="false" ht="15" hidden="false" customHeight="true" outlineLevel="0" collapsed="false">
      <c r="B15" s="6" t="s">
        <v>18</v>
      </c>
      <c r="C15" s="8" t="s">
        <v>19</v>
      </c>
    </row>
    <row r="16" customFormat="false" ht="15" hidden="false" customHeight="true" outlineLevel="0" collapsed="false">
      <c r="B16" s="6" t="s">
        <v>20</v>
      </c>
      <c r="C16" s="8" t="s">
        <v>21</v>
      </c>
    </row>
    <row r="17" customFormat="false" ht="15" hidden="false" customHeight="true" outlineLevel="0" collapsed="false">
      <c r="B17" s="6" t="s">
        <v>22</v>
      </c>
      <c r="C17" s="8" t="s">
        <v>23</v>
      </c>
    </row>
    <row r="18" customFormat="false" ht="15" hidden="false" customHeight="true" outlineLevel="0" collapsed="false">
      <c r="B18" s="6" t="s">
        <v>24</v>
      </c>
      <c r="C18" s="8" t="s">
        <v>25</v>
      </c>
    </row>
    <row r="21" customFormat="false" ht="15" hidden="false" customHeight="true" outlineLevel="0" collapsed="false">
      <c r="B21" s="9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4"/>
    <col collapsed="false" customWidth="true" hidden="false" outlineLevel="0" max="3" min="3" style="1" width="16"/>
    <col collapsed="false" customWidth="true" hidden="false" outlineLevel="0" max="4" min="4" style="1" width="42"/>
  </cols>
  <sheetData>
    <row r="2" customFormat="false" ht="19.5" hidden="false" customHeight="true" outlineLevel="0" collapsed="false">
      <c r="B2" s="10" t="s">
        <v>27</v>
      </c>
    </row>
    <row r="4" customFormat="false" ht="15" hidden="false" customHeight="true" outlineLevel="0" collapsed="false">
      <c r="B4" s="4" t="s">
        <v>28</v>
      </c>
    </row>
    <row r="5" customFormat="false" ht="15" hidden="false" customHeight="true" outlineLevel="0" collapsed="false">
      <c r="B5" s="11" t="s">
        <v>29</v>
      </c>
      <c r="C5" s="12" t="n">
        <v>5000</v>
      </c>
      <c r="D5" s="13" t="s">
        <v>30</v>
      </c>
    </row>
    <row r="6" customFormat="false" ht="15" hidden="false" customHeight="true" outlineLevel="0" collapsed="false">
      <c r="B6" s="11" t="s">
        <v>31</v>
      </c>
      <c r="C6" s="14" t="n">
        <v>0.2</v>
      </c>
      <c r="D6" s="13" t="s">
        <v>32</v>
      </c>
    </row>
    <row r="7" customFormat="false" ht="15" hidden="false" customHeight="true" outlineLevel="0" collapsed="false">
      <c r="B7" s="11" t="s">
        <v>33</v>
      </c>
      <c r="C7" s="15" t="n">
        <v>30</v>
      </c>
      <c r="D7" s="13" t="s">
        <v>34</v>
      </c>
    </row>
    <row r="8" customFormat="false" ht="15" hidden="false" customHeight="true" outlineLevel="0" collapsed="false">
      <c r="B8" s="11" t="s">
        <v>35</v>
      </c>
      <c r="C8" s="14" t="n">
        <v>0.02</v>
      </c>
      <c r="D8" s="13" t="s">
        <v>36</v>
      </c>
    </row>
    <row r="9" customFormat="false" ht="15" hidden="false" customHeight="true" outlineLevel="0" collapsed="false">
      <c r="B9" s="11" t="s">
        <v>37</v>
      </c>
      <c r="C9" s="14" t="n">
        <v>0.015</v>
      </c>
      <c r="D9" s="13" t="s">
        <v>38</v>
      </c>
    </row>
    <row r="10" customFormat="false" ht="15" hidden="false" customHeight="true" outlineLevel="0" collapsed="false">
      <c r="B10" s="11" t="s">
        <v>39</v>
      </c>
      <c r="C10" s="12" t="n">
        <v>3000</v>
      </c>
      <c r="D10" s="13" t="s">
        <v>40</v>
      </c>
    </row>
    <row r="11" customFormat="false" ht="15" hidden="false" customHeight="true" outlineLevel="0" collapsed="false">
      <c r="B11" s="11" t="s">
        <v>41</v>
      </c>
      <c r="C11" s="12" t="n">
        <v>600</v>
      </c>
      <c r="D11" s="13"/>
    </row>
    <row r="12" customFormat="false" ht="15" hidden="false" customHeight="true" outlineLevel="0" collapsed="false">
      <c r="B12" s="11" t="s">
        <v>42</v>
      </c>
      <c r="C12" s="12" t="n">
        <v>3000</v>
      </c>
      <c r="D12" s="13" t="s">
        <v>43</v>
      </c>
    </row>
    <row r="13" customFormat="false" ht="15" hidden="false" customHeight="true" outlineLevel="0" collapsed="false">
      <c r="B13" s="11" t="s">
        <v>44</v>
      </c>
      <c r="C13" s="12" t="n">
        <v>300</v>
      </c>
      <c r="D13" s="13" t="s">
        <v>45</v>
      </c>
    </row>
    <row r="14" customFormat="false" ht="15" hidden="false" customHeight="true" outlineLevel="0" collapsed="false">
      <c r="B14" s="11" t="s">
        <v>46</v>
      </c>
      <c r="C14" s="12" t="n">
        <v>2000</v>
      </c>
      <c r="D14" s="13" t="s">
        <v>47</v>
      </c>
    </row>
    <row r="16" customFormat="false" ht="15" hidden="false" customHeight="true" outlineLevel="0" collapsed="false">
      <c r="B16" s="4" t="s">
        <v>48</v>
      </c>
    </row>
    <row r="17" customFormat="false" ht="15" hidden="false" customHeight="true" outlineLevel="0" collapsed="false">
      <c r="B17" s="11" t="s">
        <v>49</v>
      </c>
      <c r="C17" s="16" t="n">
        <f aca="false">C5*C7</f>
        <v>150000</v>
      </c>
    </row>
    <row r="18" customFormat="false" ht="15" hidden="false" customHeight="true" outlineLevel="0" collapsed="false">
      <c r="B18" s="11" t="s">
        <v>50</v>
      </c>
      <c r="C18" s="17" t="n">
        <f aca="false">-C17*(1-C6)</f>
        <v>-120000</v>
      </c>
    </row>
    <row r="19" customFormat="false" ht="15" hidden="false" customHeight="true" outlineLevel="0" collapsed="false">
      <c r="B19" s="11" t="s">
        <v>51</v>
      </c>
      <c r="C19" s="16" t="n">
        <f aca="false">C17+C18</f>
        <v>30000</v>
      </c>
    </row>
    <row r="20" customFormat="false" ht="15" hidden="false" customHeight="true" outlineLevel="0" collapsed="false">
      <c r="B20" s="11" t="s">
        <v>52</v>
      </c>
      <c r="C20" s="17" t="n">
        <f aca="false">-C17*C8</f>
        <v>-3000</v>
      </c>
    </row>
    <row r="21" customFormat="false" ht="15" hidden="false" customHeight="true" outlineLevel="0" collapsed="false">
      <c r="B21" s="11" t="s">
        <v>53</v>
      </c>
      <c r="C21" s="17" t="n">
        <f aca="false">-C17*C9</f>
        <v>-2250</v>
      </c>
    </row>
    <row r="22" customFormat="false" ht="15" hidden="false" customHeight="true" outlineLevel="0" collapsed="false">
      <c r="B22" s="11" t="s">
        <v>54</v>
      </c>
      <c r="C22" s="17" t="n">
        <f aca="false">-C10</f>
        <v>-3000</v>
      </c>
    </row>
    <row r="23" customFormat="false" ht="15" hidden="false" customHeight="true" outlineLevel="0" collapsed="false">
      <c r="B23" s="11" t="s">
        <v>55</v>
      </c>
      <c r="C23" s="17" t="n">
        <f aca="false">-C11</f>
        <v>-600</v>
      </c>
    </row>
    <row r="24" customFormat="false" ht="15" hidden="false" customHeight="true" outlineLevel="0" collapsed="false">
      <c r="B24" s="11" t="s">
        <v>56</v>
      </c>
      <c r="C24" s="17" t="n">
        <f aca="false">-C12</f>
        <v>-3000</v>
      </c>
    </row>
    <row r="25" customFormat="false" ht="15" hidden="false" customHeight="true" outlineLevel="0" collapsed="false">
      <c r="B25" s="11" t="s">
        <v>57</v>
      </c>
      <c r="C25" s="17" t="n">
        <f aca="false">-C13</f>
        <v>-300</v>
      </c>
    </row>
    <row r="26" customFormat="false" ht="15" hidden="false" customHeight="true" outlineLevel="0" collapsed="false">
      <c r="B26" s="11" t="s">
        <v>58</v>
      </c>
      <c r="C26" s="17" t="n">
        <f aca="false">C14</f>
        <v>2000</v>
      </c>
    </row>
    <row r="27" customFormat="false" ht="15.75" hidden="false" customHeight="true" outlineLevel="0" collapsed="false">
      <c r="B27" s="18" t="s">
        <v>59</v>
      </c>
      <c r="C27" s="19" t="n">
        <f aca="false">C19+C20+C21+C22+C23+C24+C25+C26</f>
        <v>19850</v>
      </c>
      <c r="D27" s="20"/>
    </row>
    <row r="28" customFormat="false" ht="15" hidden="false" customHeight="true" outlineLevel="0" collapsed="false">
      <c r="B28" s="11" t="s">
        <v>60</v>
      </c>
      <c r="C28" s="21" t="n">
        <f aca="false">C27/C17</f>
        <v>0.132333333333333</v>
      </c>
    </row>
    <row r="29" customFormat="false" ht="15" hidden="false" customHeight="true" outlineLevel="0" collapsed="false">
      <c r="B29" s="11" t="s">
        <v>61</v>
      </c>
      <c r="C29" s="16" t="n">
        <f aca="false">C27/C7</f>
        <v>661.666666666667</v>
      </c>
    </row>
    <row r="30" customFormat="false" ht="15" hidden="false" customHeight="true" outlineLevel="0" collapsed="false">
      <c r="B30" s="11" t="s">
        <v>62</v>
      </c>
      <c r="C30" s="16" t="n">
        <f aca="false">C27*12</f>
        <v>238200</v>
      </c>
    </row>
    <row r="33" customFormat="false" ht="15" hidden="false" customHeight="true" outlineLevel="0" collapsed="false">
      <c r="B33" s="4" t="s">
        <v>63</v>
      </c>
    </row>
    <row r="34" customFormat="false" ht="15" hidden="false" customHeight="true" outlineLevel="0" collapsed="false">
      <c r="B34" s="22" t="s">
        <v>64</v>
      </c>
      <c r="C34" s="22"/>
      <c r="D34" s="22"/>
    </row>
    <row r="35" customFormat="false" ht="15" hidden="false" customHeight="true" outlineLevel="0" collapsed="false">
      <c r="B35" s="22" t="s">
        <v>65</v>
      </c>
      <c r="C35" s="22"/>
      <c r="D35" s="22"/>
    </row>
    <row r="36" customFormat="false" ht="15" hidden="false" customHeight="true" outlineLevel="0" collapsed="false">
      <c r="B36" s="22" t="s">
        <v>66</v>
      </c>
      <c r="C36" s="22"/>
      <c r="D36" s="22"/>
    </row>
    <row r="37" customFormat="false" ht="15" hidden="false" customHeight="true" outlineLevel="0" collapsed="false">
      <c r="B37" s="22" t="s">
        <v>67</v>
      </c>
      <c r="C37" s="22"/>
      <c r="D37" s="22"/>
    </row>
  </sheetData>
  <mergeCells count="4">
    <mergeCell ref="B34:D34"/>
    <mergeCell ref="B35:D35"/>
    <mergeCell ref="B36:D36"/>
    <mergeCell ref="B37:D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14"/>
    <col collapsed="false" customWidth="true" hidden="false" outlineLevel="0" max="4" min="4" style="1" width="12"/>
    <col collapsed="false" customWidth="true" hidden="false" outlineLevel="0" max="5" min="5" style="1" width="16"/>
    <col collapsed="false" customWidth="true" hidden="false" outlineLevel="0" max="6" min="6" style="1" width="45"/>
  </cols>
  <sheetData>
    <row r="2" customFormat="false" ht="19.5" hidden="false" customHeight="true" outlineLevel="0" collapsed="false">
      <c r="B2" s="10" t="s">
        <v>68</v>
      </c>
    </row>
    <row r="4" customFormat="false" ht="27.75" hidden="false" customHeight="true" outlineLevel="0" collapsed="false">
      <c r="B4" s="23" t="s">
        <v>69</v>
      </c>
      <c r="C4" s="23" t="s">
        <v>70</v>
      </c>
      <c r="D4" s="23" t="s">
        <v>71</v>
      </c>
      <c r="E4" s="23" t="s">
        <v>72</v>
      </c>
      <c r="F4" s="23" t="s">
        <v>73</v>
      </c>
    </row>
    <row r="5" customFormat="false" ht="15" hidden="false" customHeight="true" outlineLevel="0" collapsed="false">
      <c r="B5" s="24" t="s">
        <v>74</v>
      </c>
      <c r="C5" s="25" t="n">
        <v>1000</v>
      </c>
      <c r="D5" s="26" t="n">
        <v>0.15</v>
      </c>
      <c r="E5" s="27" t="n">
        <f aca="false">C5*30*D5</f>
        <v>4500</v>
      </c>
      <c r="F5" s="28" t="s">
        <v>75</v>
      </c>
    </row>
    <row r="6" customFormat="false" ht="15" hidden="false" customHeight="true" outlineLevel="0" collapsed="false">
      <c r="B6" s="11" t="s">
        <v>76</v>
      </c>
      <c r="C6" s="29" t="n">
        <v>2500</v>
      </c>
      <c r="D6" s="30" t="n">
        <v>0.18</v>
      </c>
      <c r="E6" s="31" t="n">
        <f aca="false">C6*30*D6</f>
        <v>13500</v>
      </c>
      <c r="F6" s="13" t="s">
        <v>77</v>
      </c>
    </row>
    <row r="7" customFormat="false" ht="15" hidden="false" customHeight="true" outlineLevel="0" collapsed="false">
      <c r="B7" s="24" t="s">
        <v>78</v>
      </c>
      <c r="C7" s="25" t="n">
        <v>4000</v>
      </c>
      <c r="D7" s="26" t="n">
        <v>0.19</v>
      </c>
      <c r="E7" s="27" t="n">
        <f aca="false">C7*30*D7</f>
        <v>22800</v>
      </c>
      <c r="F7" s="28" t="s">
        <v>79</v>
      </c>
    </row>
    <row r="8" customFormat="false" ht="15" hidden="false" customHeight="true" outlineLevel="0" collapsed="false">
      <c r="B8" s="11" t="s">
        <v>80</v>
      </c>
      <c r="C8" s="29" t="n">
        <v>5000</v>
      </c>
      <c r="D8" s="30" t="n">
        <v>0.18</v>
      </c>
      <c r="E8" s="31" t="n">
        <f aca="false">C8*30*D8</f>
        <v>27000</v>
      </c>
      <c r="F8" s="13" t="s">
        <v>81</v>
      </c>
    </row>
    <row r="9" customFormat="false" ht="15" hidden="false" customHeight="true" outlineLevel="0" collapsed="false">
      <c r="B9" s="24" t="s">
        <v>82</v>
      </c>
      <c r="C9" s="25" t="n">
        <v>7500</v>
      </c>
      <c r="D9" s="26" t="n">
        <v>0.2</v>
      </c>
      <c r="E9" s="27" t="n">
        <f aca="false">C9*30*D9</f>
        <v>45000</v>
      </c>
      <c r="F9" s="28" t="s">
        <v>83</v>
      </c>
    </row>
    <row r="10" customFormat="false" ht="15" hidden="false" customHeight="true" outlineLevel="0" collapsed="false">
      <c r="B10" s="11" t="s">
        <v>84</v>
      </c>
      <c r="C10" s="29" t="n">
        <v>10000</v>
      </c>
      <c r="D10" s="30" t="n">
        <v>0.22</v>
      </c>
      <c r="E10" s="31" t="n">
        <f aca="false">C10*30*D10</f>
        <v>66000</v>
      </c>
      <c r="F10" s="13" t="s">
        <v>85</v>
      </c>
    </row>
    <row r="11" customFormat="false" ht="15" hidden="false" customHeight="true" outlineLevel="0" collapsed="false">
      <c r="B11" s="24" t="s">
        <v>86</v>
      </c>
      <c r="C11" s="25" t="n">
        <v>15000</v>
      </c>
      <c r="D11" s="26" t="n">
        <v>0.2</v>
      </c>
      <c r="E11" s="27" t="n">
        <f aca="false">C11*30*D11</f>
        <v>90000</v>
      </c>
      <c r="F11" s="28" t="s">
        <v>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0"/>
    <col collapsed="false" customWidth="true" hidden="false" outlineLevel="0" max="3" min="3" style="1" width="16"/>
    <col collapsed="false" customWidth="true" hidden="false" outlineLevel="0" max="4" min="4" style="1" width="14"/>
    <col collapsed="false" customWidth="true" hidden="false" outlineLevel="0" max="5" min="5" style="1" width="55"/>
  </cols>
  <sheetData>
    <row r="2" customFormat="false" ht="19.5" hidden="false" customHeight="true" outlineLevel="0" collapsed="false">
      <c r="B2" s="10" t="s">
        <v>88</v>
      </c>
    </row>
    <row r="4" customFormat="false" ht="27.75" hidden="false" customHeight="true" outlineLevel="0" collapsed="false">
      <c r="B4" s="23" t="s">
        <v>89</v>
      </c>
      <c r="C4" s="23" t="s">
        <v>90</v>
      </c>
      <c r="D4" s="23" t="s">
        <v>91</v>
      </c>
      <c r="E4" s="23" t="s">
        <v>73</v>
      </c>
    </row>
    <row r="5" customFormat="false" ht="15" hidden="false" customHeight="true" outlineLevel="0" collapsed="false">
      <c r="B5" s="24" t="s">
        <v>92</v>
      </c>
      <c r="C5" s="32" t="s">
        <v>93</v>
      </c>
      <c r="D5" s="33" t="s">
        <v>94</v>
      </c>
      <c r="E5" s="28" t="s">
        <v>95</v>
      </c>
    </row>
    <row r="6" customFormat="false" ht="15" hidden="false" customHeight="true" outlineLevel="0" collapsed="false">
      <c r="B6" s="11" t="s">
        <v>96</v>
      </c>
      <c r="C6" s="34" t="s">
        <v>97</v>
      </c>
      <c r="D6" s="35" t="s">
        <v>98</v>
      </c>
      <c r="E6" s="13" t="s">
        <v>99</v>
      </c>
    </row>
    <row r="7" customFormat="false" ht="15" hidden="false" customHeight="true" outlineLevel="0" collapsed="false">
      <c r="B7" s="24" t="s">
        <v>100</v>
      </c>
      <c r="C7" s="32" t="s">
        <v>97</v>
      </c>
      <c r="D7" s="33" t="s">
        <v>98</v>
      </c>
      <c r="E7" s="28" t="s">
        <v>101</v>
      </c>
    </row>
    <row r="8" customFormat="false" ht="15" hidden="false" customHeight="true" outlineLevel="0" collapsed="false">
      <c r="B8" s="11" t="s">
        <v>102</v>
      </c>
      <c r="C8" s="34" t="s">
        <v>103</v>
      </c>
      <c r="D8" s="35" t="s">
        <v>98</v>
      </c>
      <c r="E8" s="13" t="s">
        <v>104</v>
      </c>
    </row>
    <row r="9" customFormat="false" ht="15" hidden="false" customHeight="true" outlineLevel="0" collapsed="false">
      <c r="B9" s="24" t="s">
        <v>105</v>
      </c>
      <c r="C9" s="32" t="s">
        <v>106</v>
      </c>
      <c r="D9" s="33" t="s">
        <v>107</v>
      </c>
      <c r="E9" s="28" t="s">
        <v>108</v>
      </c>
    </row>
    <row r="10" customFormat="false" ht="15" hidden="false" customHeight="true" outlineLevel="0" collapsed="false">
      <c r="B10" s="11" t="s">
        <v>109</v>
      </c>
      <c r="C10" s="34" t="s">
        <v>110</v>
      </c>
      <c r="D10" s="35" t="s">
        <v>98</v>
      </c>
      <c r="E10" s="13" t="s">
        <v>111</v>
      </c>
    </row>
    <row r="11" customFormat="false" ht="15" hidden="false" customHeight="true" outlineLevel="0" collapsed="false">
      <c r="B11" s="24" t="s">
        <v>112</v>
      </c>
      <c r="C11" s="32" t="s">
        <v>93</v>
      </c>
      <c r="D11" s="33" t="s">
        <v>107</v>
      </c>
      <c r="E11" s="28" t="s">
        <v>113</v>
      </c>
    </row>
    <row r="12" customFormat="false" ht="15" hidden="false" customHeight="true" outlineLevel="0" collapsed="false">
      <c r="B12" s="11" t="s">
        <v>114</v>
      </c>
      <c r="C12" s="34" t="s">
        <v>115</v>
      </c>
      <c r="D12" s="35" t="s">
        <v>94</v>
      </c>
      <c r="E12" s="13" t="s">
        <v>116</v>
      </c>
    </row>
    <row r="13" customFormat="false" ht="15" hidden="false" customHeight="true" outlineLevel="0" collapsed="false">
      <c r="B13" s="24" t="s">
        <v>117</v>
      </c>
      <c r="C13" s="32" t="s">
        <v>118</v>
      </c>
      <c r="D13" s="33" t="s">
        <v>107</v>
      </c>
      <c r="E13" s="28" t="s">
        <v>119</v>
      </c>
    </row>
    <row r="14" customFormat="false" ht="15" hidden="false" customHeight="true" outlineLevel="0" collapsed="false">
      <c r="B14" s="11" t="s">
        <v>120</v>
      </c>
      <c r="C14" s="34" t="s">
        <v>121</v>
      </c>
      <c r="D14" s="35" t="s">
        <v>107</v>
      </c>
      <c r="E14" s="13" t="s">
        <v>122</v>
      </c>
    </row>
    <row r="15" customFormat="false" ht="15" hidden="false" customHeight="true" outlineLevel="0" collapsed="false">
      <c r="B15" s="24" t="s">
        <v>123</v>
      </c>
      <c r="C15" s="32" t="s">
        <v>124</v>
      </c>
      <c r="D15" s="33" t="s">
        <v>98</v>
      </c>
      <c r="E15" s="28" t="s">
        <v>125</v>
      </c>
    </row>
    <row r="16" customFormat="false" ht="15" hidden="false" customHeight="true" outlineLevel="0" collapsed="false">
      <c r="B16" s="11" t="s">
        <v>126</v>
      </c>
      <c r="C16" s="34" t="s">
        <v>127</v>
      </c>
      <c r="D16" s="35" t="s">
        <v>94</v>
      </c>
      <c r="E16" s="13" t="s">
        <v>128</v>
      </c>
    </row>
    <row r="17" customFormat="false" ht="15" hidden="false" customHeight="true" outlineLevel="0" collapsed="false">
      <c r="B17" s="24" t="s">
        <v>129</v>
      </c>
      <c r="C17" s="32" t="s">
        <v>130</v>
      </c>
      <c r="D17" s="33" t="s">
        <v>98</v>
      </c>
      <c r="E17" s="28" t="s">
        <v>131</v>
      </c>
    </row>
    <row r="18" customFormat="false" ht="15" hidden="false" customHeight="true" outlineLevel="0" collapsed="false">
      <c r="B18" s="11" t="s">
        <v>132</v>
      </c>
      <c r="C18" s="34" t="s">
        <v>133</v>
      </c>
      <c r="D18" s="35" t="s">
        <v>107</v>
      </c>
      <c r="E18" s="13" t="s">
        <v>134</v>
      </c>
    </row>
    <row r="19" customFormat="false" ht="15" hidden="false" customHeight="true" outlineLevel="0" collapsed="false">
      <c r="B19" s="24" t="s">
        <v>135</v>
      </c>
      <c r="C19" s="32" t="s">
        <v>136</v>
      </c>
      <c r="D19" s="33" t="s">
        <v>137</v>
      </c>
      <c r="E19" s="28" t="s">
        <v>138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2"/>
    <col collapsed="false" customWidth="true" hidden="false" outlineLevel="0" max="8" min="3" style="1" width="12"/>
  </cols>
  <sheetData>
    <row r="2" customFormat="false" ht="19.5" hidden="false" customHeight="true" outlineLevel="0" collapsed="false">
      <c r="B2" s="10" t="s">
        <v>139</v>
      </c>
    </row>
    <row r="4" customFormat="false" ht="15" hidden="false" customHeight="true" outlineLevel="0" collapsed="false">
      <c r="B4" s="4" t="s">
        <v>28</v>
      </c>
    </row>
    <row r="5" customFormat="false" ht="15" hidden="false" customHeight="true" outlineLevel="0" collapsed="false">
      <c r="B5" s="11" t="s">
        <v>140</v>
      </c>
      <c r="C5" s="36" t="n">
        <v>80000</v>
      </c>
      <c r="D5" s="13" t="s">
        <v>141</v>
      </c>
    </row>
    <row r="6" customFormat="false" ht="15" hidden="false" customHeight="true" outlineLevel="0" collapsed="false">
      <c r="B6" s="11" t="s">
        <v>142</v>
      </c>
      <c r="C6" s="36" t="n">
        <v>15000</v>
      </c>
      <c r="D6" s="13" t="s">
        <v>143</v>
      </c>
    </row>
    <row r="7" customFormat="false" ht="15" hidden="false" customHeight="true" outlineLevel="0" collapsed="false">
      <c r="B7" s="11" t="s">
        <v>144</v>
      </c>
      <c r="C7" s="37" t="n">
        <v>0.4</v>
      </c>
      <c r="D7" s="13" t="s">
        <v>145</v>
      </c>
    </row>
    <row r="9" customFormat="false" ht="15" hidden="false" customHeight="true" outlineLevel="0" collapsed="false">
      <c r="B9" s="4" t="s">
        <v>146</v>
      </c>
    </row>
    <row r="10" customFormat="false" ht="15" hidden="false" customHeight="true" outlineLevel="0" collapsed="false">
      <c r="B10" s="11" t="s">
        <v>147</v>
      </c>
      <c r="C10" s="17" t="n">
        <f aca="false">C6*(1-C7)</f>
        <v>9000</v>
      </c>
    </row>
    <row r="11" customFormat="false" ht="15" hidden="false" customHeight="true" outlineLevel="0" collapsed="false">
      <c r="B11" s="11" t="s">
        <v>148</v>
      </c>
      <c r="C11" s="38" t="n">
        <f aca="false">C5/C6</f>
        <v>5.33333333333333</v>
      </c>
    </row>
    <row r="12" customFormat="false" ht="15.75" hidden="false" customHeight="true" outlineLevel="0" collapsed="false">
      <c r="B12" s="24" t="s">
        <v>149</v>
      </c>
      <c r="C12" s="39" t="n">
        <f aca="false">C5/(C6*(1-C7))</f>
        <v>8.88888888888889</v>
      </c>
    </row>
    <row r="13" customFormat="false" ht="15" hidden="false" customHeight="true" outlineLevel="0" collapsed="false">
      <c r="B13" s="11" t="s">
        <v>150</v>
      </c>
      <c r="C13" s="40" t="n">
        <f aca="false">C5/(C6*(1-C7))*30</f>
        <v>266.666666666667</v>
      </c>
    </row>
    <row r="17" customFormat="false" ht="15" hidden="false" customHeight="true" outlineLevel="0" collapsed="false">
      <c r="B17" s="41" t="s">
        <v>151</v>
      </c>
      <c r="C17" s="41"/>
      <c r="D17" s="41"/>
      <c r="E17" s="41"/>
      <c r="F17" s="41"/>
      <c r="G17" s="41"/>
      <c r="H17" s="41"/>
    </row>
    <row r="19" customFormat="false" ht="15" hidden="false" customHeight="true" outlineLevel="0" collapsed="false">
      <c r="B19" s="42" t="s">
        <v>152</v>
      </c>
      <c r="C19" s="43" t="n">
        <v>5000</v>
      </c>
      <c r="D19" s="43" t="n">
        <v>10000</v>
      </c>
      <c r="E19" s="43" t="n">
        <v>15000</v>
      </c>
      <c r="F19" s="43" t="n">
        <v>20000</v>
      </c>
      <c r="G19" s="43" t="n">
        <v>30000</v>
      </c>
      <c r="H19" s="43" t="n">
        <v>45000</v>
      </c>
    </row>
    <row r="20" customFormat="false" ht="15" hidden="false" customHeight="true" outlineLevel="0" collapsed="false">
      <c r="B20" s="44" t="n">
        <v>20000</v>
      </c>
      <c r="C20" s="45" t="n">
        <f aca="false">20000/5000</f>
        <v>4</v>
      </c>
      <c r="D20" s="46" t="n">
        <f aca="false">20000/10000</f>
        <v>2</v>
      </c>
      <c r="E20" s="46" t="n">
        <f aca="false">20000/15000</f>
        <v>1.33333333333333</v>
      </c>
      <c r="F20" s="46" t="n">
        <f aca="false">20000/20000</f>
        <v>1</v>
      </c>
      <c r="G20" s="46" t="n">
        <f aca="false">20000/30000</f>
        <v>0.666666666666667</v>
      </c>
      <c r="H20" s="46" t="n">
        <f aca="false">20000/45000</f>
        <v>0.444444444444444</v>
      </c>
    </row>
    <row r="21" customFormat="false" ht="15" hidden="false" customHeight="true" outlineLevel="0" collapsed="false">
      <c r="B21" s="44" t="n">
        <v>40000</v>
      </c>
      <c r="C21" s="47" t="n">
        <f aca="false">40000/5000</f>
        <v>8</v>
      </c>
      <c r="D21" s="45" t="n">
        <f aca="false">40000/10000</f>
        <v>4</v>
      </c>
      <c r="E21" s="46" t="n">
        <f aca="false">40000/15000</f>
        <v>2.66666666666667</v>
      </c>
      <c r="F21" s="46" t="n">
        <f aca="false">40000/20000</f>
        <v>2</v>
      </c>
      <c r="G21" s="46" t="n">
        <f aca="false">40000/30000</f>
        <v>1.33333333333333</v>
      </c>
      <c r="H21" s="46" t="n">
        <f aca="false">40000/45000</f>
        <v>0.888888888888889</v>
      </c>
    </row>
    <row r="22" customFormat="false" ht="15" hidden="false" customHeight="true" outlineLevel="0" collapsed="false">
      <c r="B22" s="44" t="n">
        <v>60000</v>
      </c>
      <c r="C22" s="47" t="n">
        <f aca="false">60000/5000</f>
        <v>12</v>
      </c>
      <c r="D22" s="45" t="n">
        <f aca="false">60000/10000</f>
        <v>6</v>
      </c>
      <c r="E22" s="45" t="n">
        <f aca="false">60000/15000</f>
        <v>4</v>
      </c>
      <c r="F22" s="46" t="n">
        <f aca="false">60000/20000</f>
        <v>3</v>
      </c>
      <c r="G22" s="46" t="n">
        <f aca="false">60000/30000</f>
        <v>2</v>
      </c>
      <c r="H22" s="46" t="n">
        <f aca="false">60000/45000</f>
        <v>1.33333333333333</v>
      </c>
    </row>
    <row r="23" customFormat="false" ht="15" hidden="false" customHeight="true" outlineLevel="0" collapsed="false">
      <c r="B23" s="44" t="n">
        <v>80000</v>
      </c>
      <c r="C23" s="48" t="n">
        <f aca="false">80000/5000</f>
        <v>16</v>
      </c>
      <c r="D23" s="47" t="n">
        <f aca="false">80000/10000</f>
        <v>8</v>
      </c>
      <c r="E23" s="45" t="n">
        <f aca="false">80000/15000</f>
        <v>5.33333333333333</v>
      </c>
      <c r="F23" s="45" t="n">
        <f aca="false">80000/20000</f>
        <v>4</v>
      </c>
      <c r="G23" s="46" t="n">
        <f aca="false">80000/30000</f>
        <v>2.66666666666667</v>
      </c>
      <c r="H23" s="46" t="n">
        <f aca="false">80000/45000</f>
        <v>1.77777777777778</v>
      </c>
    </row>
    <row r="24" customFormat="false" ht="15" hidden="false" customHeight="true" outlineLevel="0" collapsed="false">
      <c r="B24" s="44" t="n">
        <v>100000</v>
      </c>
      <c r="C24" s="48" t="n">
        <f aca="false">100000/5000</f>
        <v>20</v>
      </c>
      <c r="D24" s="47" t="n">
        <f aca="false">100000/10000</f>
        <v>10</v>
      </c>
      <c r="E24" s="47" t="n">
        <f aca="false">100000/15000</f>
        <v>6.66666666666667</v>
      </c>
      <c r="F24" s="45" t="n">
        <f aca="false">100000/20000</f>
        <v>5</v>
      </c>
      <c r="G24" s="45" t="n">
        <f aca="false">100000/30000</f>
        <v>3.33333333333333</v>
      </c>
      <c r="H24" s="46" t="n">
        <f aca="false">100000/45000</f>
        <v>2.22222222222222</v>
      </c>
    </row>
    <row r="25" customFormat="false" ht="15" hidden="false" customHeight="true" outlineLevel="0" collapsed="false">
      <c r="B25" s="44" t="n">
        <v>150000</v>
      </c>
      <c r="C25" s="48" t="n">
        <f aca="false">150000/5000</f>
        <v>30</v>
      </c>
      <c r="D25" s="48" t="n">
        <f aca="false">150000/10000</f>
        <v>15</v>
      </c>
      <c r="E25" s="47" t="n">
        <f aca="false">150000/15000</f>
        <v>10</v>
      </c>
      <c r="F25" s="47" t="n">
        <f aca="false">150000/20000</f>
        <v>7.5</v>
      </c>
      <c r="G25" s="45" t="n">
        <f aca="false">150000/30000</f>
        <v>5</v>
      </c>
      <c r="H25" s="45" t="n">
        <f aca="false">150000/45000</f>
        <v>3.33333333333333</v>
      </c>
    </row>
    <row r="26" customFormat="false" ht="15" hidden="false" customHeight="true" outlineLevel="0" collapsed="false">
      <c r="B26" s="44" t="n">
        <v>250000</v>
      </c>
      <c r="C26" s="48" t="n">
        <f aca="false">250000/5000</f>
        <v>50</v>
      </c>
      <c r="D26" s="48" t="n">
        <f aca="false">250000/10000</f>
        <v>25</v>
      </c>
      <c r="E26" s="48" t="n">
        <f aca="false">250000/15000</f>
        <v>16.6666666666667</v>
      </c>
      <c r="F26" s="48" t="n">
        <f aca="false">250000/20000</f>
        <v>12.5</v>
      </c>
      <c r="G26" s="47" t="n">
        <f aca="false">250000/30000</f>
        <v>8.33333333333333</v>
      </c>
      <c r="H26" s="45" t="n">
        <f aca="false">250000/45000</f>
        <v>5.55555555555556</v>
      </c>
    </row>
    <row r="28" customFormat="false" ht="15" hidden="false" customHeight="true" outlineLevel="0" collapsed="false">
      <c r="B28" s="49" t="s">
        <v>153</v>
      </c>
      <c r="C28" s="49"/>
      <c r="D28" s="49"/>
      <c r="E28" s="49"/>
      <c r="F28" s="49"/>
      <c r="G28" s="49"/>
      <c r="H28" s="49"/>
    </row>
  </sheetData>
  <mergeCells count="2">
    <mergeCell ref="B17:H17"/>
    <mergeCell ref="B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10"/>
    <col collapsed="false" customWidth="true" hidden="false" outlineLevel="0" max="3" min="3" style="1" width="14"/>
    <col collapsed="false" customWidth="true" hidden="false" outlineLevel="0" max="5" min="4" style="1" width="15"/>
    <col collapsed="false" customWidth="true" hidden="false" outlineLevel="0" max="6" min="6" style="1" width="16"/>
    <col collapsed="false" customWidth="true" hidden="false" outlineLevel="0" max="7" min="7" style="1" width="18"/>
  </cols>
  <sheetData>
    <row r="2" customFormat="false" ht="19.5" hidden="false" customHeight="true" outlineLevel="0" collapsed="false">
      <c r="B2" s="10" t="s">
        <v>154</v>
      </c>
    </row>
    <row r="4" customFormat="false" ht="15" hidden="false" customHeight="true" outlineLevel="0" collapsed="false">
      <c r="B4" s="4" t="s">
        <v>155</v>
      </c>
    </row>
    <row r="5" customFormat="false" ht="15" hidden="false" customHeight="true" outlineLevel="0" collapsed="false">
      <c r="B5" s="11" t="s">
        <v>156</v>
      </c>
      <c r="C5" s="36" t="n">
        <v>2500</v>
      </c>
    </row>
    <row r="6" customFormat="false" ht="15" hidden="false" customHeight="true" outlineLevel="0" collapsed="false">
      <c r="B6" s="11" t="s">
        <v>157</v>
      </c>
      <c r="C6" s="50" t="n">
        <v>0.18</v>
      </c>
    </row>
    <row r="7" customFormat="false" ht="15" hidden="false" customHeight="true" outlineLevel="0" collapsed="false">
      <c r="B7" s="11" t="s">
        <v>158</v>
      </c>
      <c r="C7" s="50" t="n">
        <v>0.03</v>
      </c>
    </row>
    <row r="8" customFormat="false" ht="15" hidden="false" customHeight="true" outlineLevel="0" collapsed="false">
      <c r="B8" s="11" t="s">
        <v>33</v>
      </c>
      <c r="C8" s="51" t="n">
        <v>30</v>
      </c>
    </row>
    <row r="9" customFormat="false" ht="15" hidden="false" customHeight="true" outlineLevel="0" collapsed="false">
      <c r="B9" s="11" t="s">
        <v>159</v>
      </c>
      <c r="C9" s="36" t="n">
        <v>80000</v>
      </c>
    </row>
    <row r="12" customFormat="false" ht="27.75" hidden="false" customHeight="true" outlineLevel="0" collapsed="false">
      <c r="B12" s="23" t="s">
        <v>160</v>
      </c>
      <c r="C12" s="23" t="s">
        <v>161</v>
      </c>
      <c r="D12" s="23" t="s">
        <v>162</v>
      </c>
      <c r="E12" s="23" t="s">
        <v>163</v>
      </c>
      <c r="F12" s="23" t="s">
        <v>164</v>
      </c>
      <c r="G12" s="23" t="s">
        <v>165</v>
      </c>
    </row>
    <row r="13" customFormat="false" ht="15" hidden="false" customHeight="true" outlineLevel="0" collapsed="false">
      <c r="B13" s="52" t="s">
        <v>166</v>
      </c>
      <c r="C13" s="53" t="n">
        <f aca="false">C5</f>
        <v>2500</v>
      </c>
      <c r="D13" s="53" t="n">
        <f aca="false">C13*$C$8</f>
        <v>75000</v>
      </c>
      <c r="E13" s="27" t="n">
        <f aca="false">D13*$C$6</f>
        <v>13500</v>
      </c>
      <c r="F13" s="54" t="n">
        <f aca="false">E13-$C$9</f>
        <v>-66500</v>
      </c>
      <c r="G13" s="33" t="str">
        <f aca="false">IF(F13&gt;=0,"✓ Recovered","In progress")</f>
        <v>In progress</v>
      </c>
    </row>
    <row r="14" customFormat="false" ht="15" hidden="false" customHeight="true" outlineLevel="0" collapsed="false">
      <c r="B14" s="55" t="s">
        <v>167</v>
      </c>
      <c r="C14" s="56" t="n">
        <f aca="false">C13*(1+$C$7)</f>
        <v>2575</v>
      </c>
      <c r="D14" s="56" t="n">
        <f aca="false">C14*$C$8</f>
        <v>77250</v>
      </c>
      <c r="E14" s="31" t="n">
        <f aca="false">D14*$C$6</f>
        <v>13905</v>
      </c>
      <c r="F14" s="57" t="n">
        <f aca="false">F13+E14</f>
        <v>-52595</v>
      </c>
      <c r="G14" s="35" t="str">
        <f aca="false">IF(F14&gt;=0,"✓ Recovered","In progress")</f>
        <v>In progress</v>
      </c>
    </row>
    <row r="15" customFormat="false" ht="15" hidden="false" customHeight="true" outlineLevel="0" collapsed="false">
      <c r="B15" s="52" t="s">
        <v>168</v>
      </c>
      <c r="C15" s="53" t="n">
        <f aca="false">C14*(1+$C$7)</f>
        <v>2652.25</v>
      </c>
      <c r="D15" s="53" t="n">
        <f aca="false">C15*$C$8</f>
        <v>79567.5</v>
      </c>
      <c r="E15" s="27" t="n">
        <f aca="false">D15*$C$6</f>
        <v>14322.15</v>
      </c>
      <c r="F15" s="54" t="n">
        <f aca="false">F14+E15</f>
        <v>-38272.85</v>
      </c>
      <c r="G15" s="33" t="str">
        <f aca="false">IF(F15&gt;=0,"✓ Recovered","In progress")</f>
        <v>In progress</v>
      </c>
    </row>
    <row r="16" customFormat="false" ht="15" hidden="false" customHeight="true" outlineLevel="0" collapsed="false">
      <c r="B16" s="55" t="s">
        <v>169</v>
      </c>
      <c r="C16" s="56" t="n">
        <f aca="false">C15*(1+$C$7)</f>
        <v>2731.8175</v>
      </c>
      <c r="D16" s="56" t="n">
        <f aca="false">C16*$C$8</f>
        <v>81954.525</v>
      </c>
      <c r="E16" s="31" t="n">
        <f aca="false">D16*$C$6</f>
        <v>14751.8145</v>
      </c>
      <c r="F16" s="57" t="n">
        <f aca="false">F15+E16</f>
        <v>-23521.0355</v>
      </c>
      <c r="G16" s="35" t="str">
        <f aca="false">IF(F16&gt;=0,"✓ Recovered","In progress")</f>
        <v>In progress</v>
      </c>
    </row>
    <row r="17" customFormat="false" ht="15" hidden="false" customHeight="true" outlineLevel="0" collapsed="false">
      <c r="B17" s="52" t="s">
        <v>170</v>
      </c>
      <c r="C17" s="53" t="n">
        <f aca="false">C16*(1+$C$7)</f>
        <v>2813.772025</v>
      </c>
      <c r="D17" s="53" t="n">
        <f aca="false">C17*$C$8</f>
        <v>84413.16075</v>
      </c>
      <c r="E17" s="27" t="n">
        <f aca="false">D17*$C$6</f>
        <v>15194.368935</v>
      </c>
      <c r="F17" s="54" t="n">
        <f aca="false">F16+E17</f>
        <v>-8326.666565</v>
      </c>
      <c r="G17" s="33" t="str">
        <f aca="false">IF(F17&gt;=0,"✓ Recovered","In progress")</f>
        <v>In progress</v>
      </c>
    </row>
    <row r="18" customFormat="false" ht="15" hidden="false" customHeight="true" outlineLevel="0" collapsed="false">
      <c r="B18" s="55" t="s">
        <v>171</v>
      </c>
      <c r="C18" s="56" t="n">
        <f aca="false">C17*(1+$C$7)</f>
        <v>2898.18518575</v>
      </c>
      <c r="D18" s="56" t="n">
        <f aca="false">C18*$C$8</f>
        <v>86945.5555725</v>
      </c>
      <c r="E18" s="31" t="n">
        <f aca="false">D18*$C$6</f>
        <v>15650.20000305</v>
      </c>
      <c r="F18" s="57" t="n">
        <f aca="false">F17+E18</f>
        <v>7323.53343805</v>
      </c>
      <c r="G18" s="35" t="str">
        <f aca="false">IF(F18&gt;=0,"✓ Recovered","In progress")</f>
        <v>✓ Recovered</v>
      </c>
    </row>
    <row r="19" customFormat="false" ht="15" hidden="false" customHeight="true" outlineLevel="0" collapsed="false">
      <c r="B19" s="52" t="s">
        <v>172</v>
      </c>
      <c r="C19" s="53" t="n">
        <f aca="false">C18*(1+$C$7)</f>
        <v>2985.1307413225</v>
      </c>
      <c r="D19" s="53" t="n">
        <f aca="false">C19*$C$8</f>
        <v>89553.922239675</v>
      </c>
      <c r="E19" s="27" t="n">
        <f aca="false">D19*$C$6</f>
        <v>16119.7060031415</v>
      </c>
      <c r="F19" s="54" t="n">
        <f aca="false">F18+E19</f>
        <v>23443.2394411915</v>
      </c>
      <c r="G19" s="33" t="str">
        <f aca="false">IF(F19&gt;=0,"✓ Recovered","In progress")</f>
        <v>✓ Recovered</v>
      </c>
    </row>
    <row r="20" customFormat="false" ht="15" hidden="false" customHeight="true" outlineLevel="0" collapsed="false">
      <c r="B20" s="55" t="s">
        <v>173</v>
      </c>
      <c r="C20" s="56" t="n">
        <f aca="false">C19*(1+$C$7)</f>
        <v>3074.68466356218</v>
      </c>
      <c r="D20" s="56" t="n">
        <f aca="false">C20*$C$8</f>
        <v>92240.5399068653</v>
      </c>
      <c r="E20" s="31" t="n">
        <f aca="false">D20*$C$6</f>
        <v>16603.2971832357</v>
      </c>
      <c r="F20" s="57" t="n">
        <f aca="false">F19+E20</f>
        <v>40046.5366244272</v>
      </c>
      <c r="G20" s="35" t="str">
        <f aca="false">IF(F20&gt;=0,"✓ Recovered","In progress")</f>
        <v>✓ Recovered</v>
      </c>
    </row>
    <row r="21" customFormat="false" ht="15" hidden="false" customHeight="true" outlineLevel="0" collapsed="false">
      <c r="B21" s="52" t="s">
        <v>174</v>
      </c>
      <c r="C21" s="53" t="n">
        <f aca="false">C20*(1+$C$7)</f>
        <v>3166.92520346904</v>
      </c>
      <c r="D21" s="53" t="n">
        <f aca="false">C21*$C$8</f>
        <v>95007.7561040712</v>
      </c>
      <c r="E21" s="27" t="n">
        <f aca="false">D21*$C$6</f>
        <v>17101.3960987328</v>
      </c>
      <c r="F21" s="54" t="n">
        <f aca="false">F20+E21</f>
        <v>57147.9327231601</v>
      </c>
      <c r="G21" s="33" t="str">
        <f aca="false">IF(F21&gt;=0,"✓ Recovered","In progress")</f>
        <v>✓ Recovered</v>
      </c>
    </row>
    <row r="22" customFormat="false" ht="15" hidden="false" customHeight="true" outlineLevel="0" collapsed="false">
      <c r="B22" s="55" t="s">
        <v>175</v>
      </c>
      <c r="C22" s="56" t="n">
        <f aca="false">C21*(1+$C$7)</f>
        <v>3261.93295957311</v>
      </c>
      <c r="D22" s="56" t="n">
        <f aca="false">C22*$C$8</f>
        <v>97857.9887871934</v>
      </c>
      <c r="E22" s="31" t="n">
        <f aca="false">D22*$C$6</f>
        <v>17614.4379816948</v>
      </c>
      <c r="F22" s="57" t="n">
        <f aca="false">F21+E22</f>
        <v>74762.3707048549</v>
      </c>
      <c r="G22" s="35" t="str">
        <f aca="false">IF(F22&gt;=0,"✓ Recovered","In progress")</f>
        <v>✓ Recovered</v>
      </c>
    </row>
    <row r="23" customFormat="false" ht="15" hidden="false" customHeight="true" outlineLevel="0" collapsed="false">
      <c r="B23" s="52" t="s">
        <v>176</v>
      </c>
      <c r="C23" s="53" t="n">
        <f aca="false">C22*(1+$C$7)</f>
        <v>3359.79094836031</v>
      </c>
      <c r="D23" s="53" t="n">
        <f aca="false">C23*$C$8</f>
        <v>100793.728450809</v>
      </c>
      <c r="E23" s="27" t="n">
        <f aca="false">D23*$C$6</f>
        <v>18142.8711211456</v>
      </c>
      <c r="F23" s="54" t="n">
        <f aca="false">F22+E23</f>
        <v>92905.2418260005</v>
      </c>
      <c r="G23" s="33" t="str">
        <f aca="false">IF(F23&gt;=0,"✓ Recovered","In progress")</f>
        <v>✓ Recovered</v>
      </c>
    </row>
    <row r="24" customFormat="false" ht="15" hidden="false" customHeight="true" outlineLevel="0" collapsed="false">
      <c r="B24" s="55" t="s">
        <v>177</v>
      </c>
      <c r="C24" s="56" t="n">
        <f aca="false">C23*(1+$C$7)</f>
        <v>3460.58467681111</v>
      </c>
      <c r="D24" s="56" t="n">
        <f aca="false">C24*$C$8</f>
        <v>103817.540304333</v>
      </c>
      <c r="E24" s="31" t="n">
        <f aca="false">D24*$C$6</f>
        <v>18687.15725478</v>
      </c>
      <c r="F24" s="57" t="n">
        <f aca="false">F23+E24</f>
        <v>111592.399080781</v>
      </c>
      <c r="G24" s="35" t="str">
        <f aca="false">IF(F24&gt;=0,"✓ Recovered","In progress")</f>
        <v>✓ Recovered</v>
      </c>
    </row>
    <row r="25" customFormat="false" ht="15" hidden="false" customHeight="true" outlineLevel="0" collapsed="false">
      <c r="B25" s="58" t="s">
        <v>178</v>
      </c>
      <c r="C25" s="59"/>
      <c r="D25" s="60" t="n">
        <f aca="false">SUM(D13:D24)</f>
        <v>1064402.21711545</v>
      </c>
      <c r="E25" s="60" t="n">
        <f aca="false">SUM(E13:E24)</f>
        <v>191592.399080781</v>
      </c>
      <c r="F25" s="59"/>
      <c r="G25" s="5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8"/>
    <col collapsed="false" customWidth="true" hidden="false" outlineLevel="0" max="3" min="3" style="1" width="14"/>
    <col collapsed="false" customWidth="true" hidden="false" outlineLevel="0" max="4" min="4" style="1" width="15"/>
    <col collapsed="false" customWidth="true" hidden="false" outlineLevel="0" max="5" min="5" style="1" width="14"/>
    <col collapsed="false" customWidth="true" hidden="false" outlineLevel="0" max="6" min="6" style="1" width="15"/>
    <col collapsed="false" customWidth="true" hidden="false" outlineLevel="0" max="7" min="7" style="1" width="14"/>
    <col collapsed="false" customWidth="true" hidden="false" outlineLevel="0" max="8" min="8" style="1" width="15"/>
    <col collapsed="false" customWidth="true" hidden="false" outlineLevel="0" max="9" min="9" style="1" width="30"/>
  </cols>
  <sheetData>
    <row r="2" customFormat="false" ht="19.5" hidden="false" customHeight="true" outlineLevel="0" collapsed="false">
      <c r="B2" s="10" t="s">
        <v>179</v>
      </c>
    </row>
    <row r="3" customFormat="false" ht="15" hidden="false" customHeight="true" outlineLevel="0" collapsed="false">
      <c r="B3" s="3" t="s">
        <v>180</v>
      </c>
    </row>
    <row r="5" customFormat="false" ht="27.75" hidden="false" customHeight="true" outlineLevel="0" collapsed="false">
      <c r="B5" s="23" t="s">
        <v>181</v>
      </c>
      <c r="C5" s="23" t="s">
        <v>182</v>
      </c>
      <c r="D5" s="23" t="s">
        <v>183</v>
      </c>
      <c r="E5" s="23" t="s">
        <v>184</v>
      </c>
      <c r="F5" s="23" t="s">
        <v>185</v>
      </c>
      <c r="G5" s="23" t="s">
        <v>186</v>
      </c>
      <c r="H5" s="23" t="s">
        <v>187</v>
      </c>
      <c r="I5" s="23" t="s">
        <v>73</v>
      </c>
    </row>
    <row r="6" customFormat="false" ht="15" hidden="false" customHeight="true" outlineLevel="0" collapsed="false">
      <c r="B6" s="33" t="n">
        <v>1</v>
      </c>
      <c r="C6" s="61"/>
      <c r="D6" s="62"/>
      <c r="E6" s="62"/>
      <c r="F6" s="62"/>
      <c r="G6" s="62"/>
      <c r="H6" s="62"/>
      <c r="I6" s="20"/>
    </row>
    <row r="7" customFormat="false" ht="15" hidden="false" customHeight="true" outlineLevel="0" collapsed="false">
      <c r="B7" s="35" t="n">
        <v>2</v>
      </c>
      <c r="C7" s="63"/>
      <c r="D7" s="64"/>
      <c r="E7" s="64"/>
      <c r="F7" s="64"/>
      <c r="G7" s="64"/>
      <c r="H7" s="64"/>
    </row>
    <row r="8" customFormat="false" ht="15" hidden="false" customHeight="true" outlineLevel="0" collapsed="false">
      <c r="B8" s="33" t="n">
        <v>3</v>
      </c>
      <c r="C8" s="61"/>
      <c r="D8" s="62"/>
      <c r="E8" s="62"/>
      <c r="F8" s="62"/>
      <c r="G8" s="62"/>
      <c r="H8" s="62"/>
      <c r="I8" s="20"/>
    </row>
    <row r="9" customFormat="false" ht="15" hidden="false" customHeight="true" outlineLevel="0" collapsed="false">
      <c r="B9" s="35" t="n">
        <v>4</v>
      </c>
      <c r="C9" s="63"/>
      <c r="D9" s="64"/>
      <c r="E9" s="64"/>
      <c r="F9" s="64"/>
      <c r="G9" s="64"/>
      <c r="H9" s="64"/>
    </row>
    <row r="10" customFormat="false" ht="15" hidden="false" customHeight="true" outlineLevel="0" collapsed="false">
      <c r="B10" s="33" t="n">
        <v>5</v>
      </c>
      <c r="C10" s="61"/>
      <c r="D10" s="62"/>
      <c r="E10" s="62"/>
      <c r="F10" s="62"/>
      <c r="G10" s="62"/>
      <c r="H10" s="62"/>
      <c r="I10" s="20"/>
    </row>
    <row r="11" customFormat="false" ht="15" hidden="false" customHeight="true" outlineLevel="0" collapsed="false">
      <c r="B11" s="35" t="n">
        <v>6</v>
      </c>
      <c r="C11" s="63"/>
      <c r="D11" s="64"/>
      <c r="E11" s="64"/>
      <c r="F11" s="64"/>
      <c r="G11" s="64"/>
      <c r="H11" s="64"/>
    </row>
    <row r="12" customFormat="false" ht="15" hidden="false" customHeight="true" outlineLevel="0" collapsed="false">
      <c r="B12" s="33" t="n">
        <v>7</v>
      </c>
      <c r="C12" s="61"/>
      <c r="D12" s="62"/>
      <c r="E12" s="62"/>
      <c r="F12" s="62"/>
      <c r="G12" s="62"/>
      <c r="H12" s="62"/>
      <c r="I12" s="20"/>
    </row>
    <row r="13" customFormat="false" ht="15" hidden="false" customHeight="true" outlineLevel="0" collapsed="false">
      <c r="B13" s="35" t="n">
        <v>8</v>
      </c>
      <c r="C13" s="63"/>
      <c r="D13" s="64"/>
      <c r="E13" s="64"/>
      <c r="F13" s="64"/>
      <c r="G13" s="64"/>
      <c r="H13" s="64"/>
    </row>
    <row r="14" customFormat="false" ht="15" hidden="false" customHeight="true" outlineLevel="0" collapsed="false">
      <c r="B14" s="33" t="n">
        <v>9</v>
      </c>
      <c r="C14" s="61"/>
      <c r="D14" s="62"/>
      <c r="E14" s="62"/>
      <c r="F14" s="62"/>
      <c r="G14" s="62"/>
      <c r="H14" s="62"/>
      <c r="I14" s="20"/>
    </row>
    <row r="15" customFormat="false" ht="15" hidden="false" customHeight="true" outlineLevel="0" collapsed="false">
      <c r="B15" s="35" t="n">
        <v>10</v>
      </c>
      <c r="C15" s="63"/>
      <c r="D15" s="64"/>
      <c r="E15" s="64"/>
      <c r="F15" s="64"/>
      <c r="G15" s="64"/>
      <c r="H15" s="64"/>
    </row>
    <row r="16" customFormat="false" ht="15" hidden="false" customHeight="true" outlineLevel="0" collapsed="false">
      <c r="B16" s="33" t="n">
        <v>11</v>
      </c>
      <c r="C16" s="61"/>
      <c r="D16" s="62"/>
      <c r="E16" s="62"/>
      <c r="F16" s="62"/>
      <c r="G16" s="62"/>
      <c r="H16" s="62"/>
      <c r="I16" s="20"/>
    </row>
    <row r="17" customFormat="false" ht="15" hidden="false" customHeight="true" outlineLevel="0" collapsed="false">
      <c r="B17" s="35" t="n">
        <v>12</v>
      </c>
      <c r="C17" s="63"/>
      <c r="D17" s="64"/>
      <c r="E17" s="64"/>
      <c r="F17" s="64"/>
      <c r="G17" s="64"/>
      <c r="H17" s="64"/>
    </row>
    <row r="18" customFormat="false" ht="15" hidden="false" customHeight="true" outlineLevel="0" collapsed="false">
      <c r="B18" s="33" t="n">
        <v>13</v>
      </c>
      <c r="C18" s="61"/>
      <c r="D18" s="62"/>
      <c r="E18" s="62"/>
      <c r="F18" s="62"/>
      <c r="G18" s="62"/>
      <c r="H18" s="62"/>
      <c r="I18" s="20"/>
    </row>
    <row r="19" customFormat="false" ht="15" hidden="false" customHeight="true" outlineLevel="0" collapsed="false">
      <c r="B19" s="35" t="n">
        <v>14</v>
      </c>
      <c r="C19" s="63"/>
      <c r="D19" s="64"/>
      <c r="E19" s="64"/>
      <c r="F19" s="64"/>
      <c r="G19" s="64"/>
      <c r="H19" s="64"/>
    </row>
    <row r="20" customFormat="false" ht="15" hidden="false" customHeight="true" outlineLevel="0" collapsed="false">
      <c r="B20" s="33" t="n">
        <v>15</v>
      </c>
      <c r="C20" s="61"/>
      <c r="D20" s="62"/>
      <c r="E20" s="62"/>
      <c r="F20" s="62"/>
      <c r="G20" s="62"/>
      <c r="H20" s="62"/>
      <c r="I20" s="20"/>
    </row>
    <row r="21" customFormat="false" ht="15" hidden="false" customHeight="true" outlineLevel="0" collapsed="false">
      <c r="B21" s="35" t="n">
        <v>16</v>
      </c>
      <c r="C21" s="63"/>
      <c r="D21" s="64"/>
      <c r="E21" s="64"/>
      <c r="F21" s="64"/>
      <c r="G21" s="64"/>
      <c r="H21" s="64"/>
    </row>
    <row r="22" customFormat="false" ht="15" hidden="false" customHeight="true" outlineLevel="0" collapsed="false">
      <c r="B22" s="33" t="n">
        <v>17</v>
      </c>
      <c r="C22" s="61"/>
      <c r="D22" s="62"/>
      <c r="E22" s="62"/>
      <c r="F22" s="62"/>
      <c r="G22" s="62"/>
      <c r="H22" s="62"/>
      <c r="I22" s="20"/>
    </row>
    <row r="23" customFormat="false" ht="15" hidden="false" customHeight="true" outlineLevel="0" collapsed="false">
      <c r="B23" s="35" t="n">
        <v>18</v>
      </c>
      <c r="C23" s="63"/>
      <c r="D23" s="64"/>
      <c r="E23" s="64"/>
      <c r="F23" s="64"/>
      <c r="G23" s="64"/>
      <c r="H23" s="64"/>
    </row>
    <row r="24" customFormat="false" ht="15" hidden="false" customHeight="true" outlineLevel="0" collapsed="false">
      <c r="B24" s="33" t="n">
        <v>19</v>
      </c>
      <c r="C24" s="61"/>
      <c r="D24" s="62"/>
      <c r="E24" s="62"/>
      <c r="F24" s="62"/>
      <c r="G24" s="62"/>
      <c r="H24" s="62"/>
      <c r="I24" s="20"/>
    </row>
    <row r="25" customFormat="false" ht="15" hidden="false" customHeight="true" outlineLevel="0" collapsed="false">
      <c r="B25" s="35" t="n">
        <v>20</v>
      </c>
      <c r="C25" s="63"/>
      <c r="D25" s="64"/>
      <c r="E25" s="64"/>
      <c r="F25" s="64"/>
      <c r="G25" s="64"/>
      <c r="H25" s="64"/>
    </row>
    <row r="26" customFormat="false" ht="15" hidden="false" customHeight="true" outlineLevel="0" collapsed="false">
      <c r="B26" s="33" t="n">
        <v>21</v>
      </c>
      <c r="C26" s="61"/>
      <c r="D26" s="62"/>
      <c r="E26" s="62"/>
      <c r="F26" s="62"/>
      <c r="G26" s="62"/>
      <c r="H26" s="62"/>
      <c r="I26" s="20"/>
    </row>
    <row r="27" customFormat="false" ht="15" hidden="false" customHeight="true" outlineLevel="0" collapsed="false">
      <c r="B27" s="35" t="n">
        <v>22</v>
      </c>
      <c r="C27" s="63"/>
      <c r="D27" s="64"/>
      <c r="E27" s="64"/>
      <c r="F27" s="64"/>
      <c r="G27" s="64"/>
      <c r="H27" s="64"/>
    </row>
    <row r="28" customFormat="false" ht="15" hidden="false" customHeight="true" outlineLevel="0" collapsed="false">
      <c r="B28" s="33" t="n">
        <v>23</v>
      </c>
      <c r="C28" s="61"/>
      <c r="D28" s="62"/>
      <c r="E28" s="62"/>
      <c r="F28" s="62"/>
      <c r="G28" s="62"/>
      <c r="H28" s="62"/>
      <c r="I28" s="20"/>
    </row>
    <row r="29" customFormat="false" ht="15" hidden="false" customHeight="true" outlineLevel="0" collapsed="false">
      <c r="B29" s="35" t="n">
        <v>24</v>
      </c>
      <c r="C29" s="63"/>
      <c r="D29" s="64"/>
      <c r="E29" s="64"/>
      <c r="F29" s="64"/>
      <c r="G29" s="64"/>
      <c r="H29" s="64"/>
    </row>
    <row r="30" customFormat="false" ht="15" hidden="false" customHeight="true" outlineLevel="0" collapsed="false">
      <c r="B30" s="33" t="n">
        <v>25</v>
      </c>
      <c r="C30" s="61"/>
      <c r="D30" s="62"/>
      <c r="E30" s="62"/>
      <c r="F30" s="62"/>
      <c r="G30" s="62"/>
      <c r="H30" s="62"/>
      <c r="I30" s="20"/>
    </row>
    <row r="31" customFormat="false" ht="15" hidden="false" customHeight="true" outlineLevel="0" collapsed="false">
      <c r="B31" s="35" t="n">
        <v>26</v>
      </c>
      <c r="C31" s="63"/>
      <c r="D31" s="64"/>
      <c r="E31" s="64"/>
      <c r="F31" s="64"/>
      <c r="G31" s="64"/>
      <c r="H31" s="64"/>
    </row>
    <row r="32" customFormat="false" ht="15" hidden="false" customHeight="true" outlineLevel="0" collapsed="false">
      <c r="B32" s="33" t="n">
        <v>27</v>
      </c>
      <c r="C32" s="61"/>
      <c r="D32" s="62"/>
      <c r="E32" s="62"/>
      <c r="F32" s="62"/>
      <c r="G32" s="62"/>
      <c r="H32" s="62"/>
      <c r="I32" s="20"/>
    </row>
    <row r="33" customFormat="false" ht="15" hidden="false" customHeight="true" outlineLevel="0" collapsed="false">
      <c r="B33" s="35" t="n">
        <v>28</v>
      </c>
      <c r="C33" s="63"/>
      <c r="D33" s="64"/>
      <c r="E33" s="64"/>
      <c r="F33" s="64"/>
      <c r="G33" s="64"/>
      <c r="H33" s="64"/>
    </row>
    <row r="34" customFormat="false" ht="15" hidden="false" customHeight="true" outlineLevel="0" collapsed="false">
      <c r="B34" s="33" t="n">
        <v>29</v>
      </c>
      <c r="C34" s="61"/>
      <c r="D34" s="62"/>
      <c r="E34" s="62"/>
      <c r="F34" s="62"/>
      <c r="G34" s="62"/>
      <c r="H34" s="62"/>
      <c r="I34" s="20"/>
    </row>
    <row r="35" customFormat="false" ht="15" hidden="false" customHeight="true" outlineLevel="0" collapsed="false">
      <c r="B35" s="35" t="n">
        <v>30</v>
      </c>
      <c r="C35" s="63"/>
      <c r="D35" s="64"/>
      <c r="E35" s="64"/>
      <c r="F35" s="64"/>
      <c r="G35" s="64"/>
      <c r="H35" s="64"/>
    </row>
    <row r="36" customFormat="false" ht="15" hidden="false" customHeight="true" outlineLevel="0" collapsed="false">
      <c r="B36" s="65" t="s">
        <v>188</v>
      </c>
      <c r="C36" s="59"/>
      <c r="D36" s="60" t="n">
        <f aca="false">SUM(D6:D35)</f>
        <v>0</v>
      </c>
      <c r="E36" s="60" t="n">
        <f aca="false">SUM(E6:E35)</f>
        <v>0</v>
      </c>
      <c r="F36" s="60" t="n">
        <f aca="false">SUM(F6:F35)</f>
        <v>0</v>
      </c>
      <c r="G36" s="60" t="n">
        <f aca="false">SUM(G6:G35)</f>
        <v>0</v>
      </c>
      <c r="H36" s="60" t="n">
        <f aca="false">SUM(H6:H35)</f>
        <v>0</v>
      </c>
      <c r="I36" s="59"/>
    </row>
    <row r="38" customFormat="false" ht="15" hidden="false" customHeight="true" outlineLevel="0" collapsed="false">
      <c r="B38" s="4" t="s">
        <v>189</v>
      </c>
    </row>
    <row r="39" customFormat="false" ht="15" hidden="false" customHeight="true" outlineLevel="0" collapsed="false">
      <c r="B39" s="11" t="s">
        <v>190</v>
      </c>
      <c r="C39" s="16" t="n">
        <f aca="false">D36</f>
        <v>0</v>
      </c>
    </row>
    <row r="40" customFormat="false" ht="15" hidden="false" customHeight="true" outlineLevel="0" collapsed="false">
      <c r="B40" s="11" t="s">
        <v>191</v>
      </c>
      <c r="C40" s="16" t="n">
        <f aca="false">E36-F36</f>
        <v>0</v>
      </c>
    </row>
    <row r="41" customFormat="false" ht="15" hidden="false" customHeight="true" outlineLevel="0" collapsed="false">
      <c r="B41" s="11" t="s">
        <v>192</v>
      </c>
      <c r="C41" s="16" t="n">
        <f aca="false">G36+H36</f>
        <v>0</v>
      </c>
    </row>
    <row r="42" customFormat="false" ht="15" hidden="false" customHeight="true" outlineLevel="0" collapsed="false">
      <c r="B42" s="11" t="s">
        <v>193</v>
      </c>
      <c r="C42" s="16" t="n">
        <f aca="false">D36-G36-H36</f>
        <v>0</v>
      </c>
    </row>
    <row r="43" customFormat="false" ht="15" hidden="false" customHeight="true" outlineLevel="0" collapsed="false">
      <c r="B43" s="11" t="s">
        <v>194</v>
      </c>
      <c r="C43" s="21" t="n">
        <f aca="false">IFERROR((D36-G36-H36)/D36,0)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2026-07-22T12:02:07Z</dcterms:created>
  <dc:creator>openpyxl</dc:creator>
  <dc:description/>
  <dc:language>en-US</dc:language>
  <cp:lastModifiedBy/>
  <dcterms:modified xsi:type="dcterms:W3CDTF">2026-07-22T12:02:38Z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